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680" firstSheet="3" activeTab="11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25725"/>
</workbook>
</file>

<file path=xl/calcChain.xml><?xml version="1.0" encoding="utf-8"?>
<calcChain xmlns="http://schemas.openxmlformats.org/spreadsheetml/2006/main">
  <c r="G6" i="12"/>
  <c r="E6"/>
  <c r="I5"/>
  <c r="G5"/>
  <c r="E5"/>
  <c r="I4"/>
  <c r="G4"/>
  <c r="E4"/>
  <c r="D6"/>
  <c r="D5"/>
  <c r="D4"/>
  <c r="I6" i="11"/>
  <c r="G6"/>
  <c r="E6"/>
  <c r="I5"/>
  <c r="G5"/>
  <c r="E5"/>
  <c r="I4"/>
  <c r="G4"/>
  <c r="E4"/>
  <c r="D6"/>
  <c r="D5"/>
  <c r="D4"/>
  <c r="I6" i="10"/>
  <c r="G6"/>
  <c r="E6"/>
  <c r="D6"/>
  <c r="I5"/>
  <c r="G5"/>
  <c r="E5"/>
  <c r="D5"/>
  <c r="G4"/>
  <c r="E4"/>
  <c r="D4"/>
  <c r="G5" i="9"/>
  <c r="E5"/>
  <c r="G6"/>
  <c r="E6"/>
  <c r="G4"/>
  <c r="E4"/>
  <c r="D5"/>
  <c r="D5" i="8"/>
  <c r="D5" i="7"/>
  <c r="D5" i="6"/>
  <c r="D6" i="8"/>
  <c r="D4"/>
  <c r="E6"/>
  <c r="G4"/>
  <c r="E4"/>
  <c r="G5"/>
  <c r="E5"/>
  <c r="G6" i="7"/>
  <c r="E6"/>
  <c r="I5"/>
  <c r="G5"/>
  <c r="E5"/>
  <c r="G4"/>
  <c r="E4"/>
  <c r="D6"/>
  <c r="D4"/>
  <c r="H4" s="1"/>
  <c r="G6" i="6"/>
  <c r="E6"/>
  <c r="G5"/>
  <c r="E5"/>
  <c r="G4"/>
  <c r="E4"/>
  <c r="D6"/>
  <c r="D4"/>
  <c r="G6" i="5"/>
  <c r="E6"/>
  <c r="I5"/>
  <c r="G5"/>
  <c r="E5"/>
  <c r="G4"/>
  <c r="E4"/>
  <c r="D6"/>
  <c r="D5"/>
  <c r="D4"/>
  <c r="G6" i="4"/>
  <c r="E6"/>
  <c r="I5"/>
  <c r="E5"/>
  <c r="G5"/>
  <c r="D6"/>
  <c r="D5"/>
  <c r="G4"/>
  <c r="E4"/>
  <c r="D4"/>
  <c r="F6" i="12"/>
  <c r="J6"/>
  <c r="H5"/>
  <c r="F5"/>
  <c r="J5"/>
  <c r="H4"/>
  <c r="F4"/>
  <c r="K4"/>
  <c r="F6" i="11"/>
  <c r="J6"/>
  <c r="H5"/>
  <c r="F5"/>
  <c r="J5"/>
  <c r="H4"/>
  <c r="F4"/>
  <c r="K4"/>
  <c r="F6" i="10"/>
  <c r="J6"/>
  <c r="H5"/>
  <c r="F5"/>
  <c r="J5"/>
  <c r="H4"/>
  <c r="K4"/>
  <c r="F6" i="9"/>
  <c r="D6"/>
  <c r="J6" s="1"/>
  <c r="H5"/>
  <c r="F5"/>
  <c r="J5"/>
  <c r="H4"/>
  <c r="F4"/>
  <c r="D4"/>
  <c r="K4" s="1"/>
  <c r="F6" i="8"/>
  <c r="J6"/>
  <c r="J5"/>
  <c r="K4"/>
  <c r="F6" i="7"/>
  <c r="J6"/>
  <c r="H5"/>
  <c r="F5"/>
  <c r="J5"/>
  <c r="F4"/>
  <c r="F6" i="6"/>
  <c r="J6"/>
  <c r="H5"/>
  <c r="F5"/>
  <c r="J5"/>
  <c r="H4"/>
  <c r="F4"/>
  <c r="K4"/>
  <c r="F6" i="5"/>
  <c r="J6"/>
  <c r="H5"/>
  <c r="F5"/>
  <c r="J5"/>
  <c r="H4"/>
  <c r="F4"/>
  <c r="K4"/>
  <c r="F6" i="4"/>
  <c r="J6"/>
  <c r="H5"/>
  <c r="F5"/>
  <c r="J5"/>
  <c r="H4"/>
  <c r="F4"/>
  <c r="K4"/>
  <c r="E6" i="3"/>
  <c r="G5"/>
  <c r="E5"/>
  <c r="G4"/>
  <c r="H4" s="1"/>
  <c r="E4"/>
  <c r="D6"/>
  <c r="D5"/>
  <c r="D4"/>
  <c r="F6"/>
  <c r="J6"/>
  <c r="F5"/>
  <c r="K5"/>
  <c r="F4"/>
  <c r="J4"/>
  <c r="G6" i="2"/>
  <c r="E6"/>
  <c r="G5"/>
  <c r="E5"/>
  <c r="G4"/>
  <c r="H4" s="1"/>
  <c r="E4"/>
  <c r="D6"/>
  <c r="D5"/>
  <c r="D4"/>
  <c r="H6"/>
  <c r="F6"/>
  <c r="K6"/>
  <c r="J5"/>
  <c r="F5"/>
  <c r="K5"/>
  <c r="F4"/>
  <c r="J4"/>
  <c r="I6" i="1"/>
  <c r="G6"/>
  <c r="E6"/>
  <c r="I5"/>
  <c r="G5"/>
  <c r="E5"/>
  <c r="G4"/>
  <c r="E4"/>
  <c r="D6"/>
  <c r="D5"/>
  <c r="K5" s="1"/>
  <c r="D4"/>
  <c r="J4" s="1"/>
  <c r="F6"/>
  <c r="J6"/>
  <c r="H4"/>
  <c r="F4"/>
  <c r="K4"/>
  <c r="F4" i="10" l="1"/>
  <c r="H4" i="8"/>
  <c r="F5"/>
  <c r="F4"/>
  <c r="H5"/>
  <c r="K4" i="7"/>
  <c r="J4" i="12"/>
  <c r="K5"/>
  <c r="H6"/>
  <c r="K6"/>
  <c r="J4" i="11"/>
  <c r="K5"/>
  <c r="H6"/>
  <c r="K6"/>
  <c r="J4" i="10"/>
  <c r="K5"/>
  <c r="H6"/>
  <c r="K6"/>
  <c r="J4" i="9"/>
  <c r="K5"/>
  <c r="H6"/>
  <c r="K6"/>
  <c r="J4" i="8"/>
  <c r="K5"/>
  <c r="H6"/>
  <c r="K6"/>
  <c r="J4" i="7"/>
  <c r="K5"/>
  <c r="H6"/>
  <c r="K6"/>
  <c r="J4" i="6"/>
  <c r="K5"/>
  <c r="H6"/>
  <c r="K6"/>
  <c r="J4" i="5"/>
  <c r="K5"/>
  <c r="H6"/>
  <c r="K6"/>
  <c r="J4" i="4"/>
  <c r="K5"/>
  <c r="H6"/>
  <c r="K6"/>
  <c r="H6" i="3"/>
  <c r="H5"/>
  <c r="K4"/>
  <c r="J5"/>
  <c r="K6"/>
  <c r="J6" i="2"/>
  <c r="H5"/>
  <c r="K4"/>
  <c r="H6" i="1"/>
  <c r="J5"/>
  <c r="K6"/>
  <c r="F5"/>
  <c r="H5"/>
</calcChain>
</file>

<file path=xl/sharedStrings.xml><?xml version="1.0" encoding="utf-8"?>
<sst xmlns="http://schemas.openxmlformats.org/spreadsheetml/2006/main" count="168" uniqueCount="23">
  <si>
    <t>TASSI DI ASSENZA E MAGGIOR PRESENZA DEL PERSONALE</t>
  </si>
  <si>
    <t>GENNAIO</t>
  </si>
  <si>
    <t>N. dipendenti</t>
  </si>
  <si>
    <t>N. teorico giorni lavorativi</t>
  </si>
  <si>
    <t>N. complessivo giorni di assenza a qualunque titolo</t>
  </si>
  <si>
    <t>Incidenza %</t>
  </si>
  <si>
    <t>N. giorni di assenza escluse le ferie</t>
  </si>
  <si>
    <t>N. giorni di malattia</t>
  </si>
  <si>
    <t>Tassi di maggior presenza %</t>
  </si>
  <si>
    <t>Area Amministrativo- Finaziaria</t>
  </si>
  <si>
    <t>Area Tecnica</t>
  </si>
  <si>
    <t>Area PL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</si>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</sst>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sqref="A1:XFD1048576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21*4</f>
        <v>84</v>
      </c>
      <c r="E4" s="2">
        <f>1+1+0.4+0.2+1.1+31</f>
        <v>34.700000000000003</v>
      </c>
      <c r="F4" s="2">
        <f>E4*100/D4</f>
        <v>41.309523809523817</v>
      </c>
      <c r="G4" s="2">
        <f>1+0.4+0.2+31</f>
        <v>32.6</v>
      </c>
      <c r="H4" s="2">
        <f>G4*100/D4</f>
        <v>38.80952380952381</v>
      </c>
      <c r="I4" s="2">
        <v>1</v>
      </c>
      <c r="J4" s="2">
        <f>I4*100/D4</f>
        <v>1.1904761904761905</v>
      </c>
      <c r="K4" s="5">
        <f>((D4-E4)*100)/D4</f>
        <v>58.69047619047619</v>
      </c>
      <c r="L4" s="5"/>
    </row>
    <row r="5" spans="1:12">
      <c r="A5" s="4" t="s">
        <v>10</v>
      </c>
      <c r="B5" s="4"/>
      <c r="C5" s="2">
        <v>7</v>
      </c>
      <c r="D5" s="2">
        <f>21*7</f>
        <v>147</v>
      </c>
      <c r="E5" s="2">
        <f>2+1+0.1+2+0.3+0.1+5+0.2+3+2</f>
        <v>15.7</v>
      </c>
      <c r="F5" s="2">
        <f>E5*100/D5</f>
        <v>10.680272108843537</v>
      </c>
      <c r="G5" s="2">
        <f>2+3+0.2+0.1+0.3+1</f>
        <v>6.6</v>
      </c>
      <c r="H5" s="2">
        <f>G5*100/D5</f>
        <v>4.4897959183673466</v>
      </c>
      <c r="I5" s="2">
        <f>1+3</f>
        <v>4</v>
      </c>
      <c r="J5" s="2">
        <f>I5*100/D5</f>
        <v>2.7210884353741496</v>
      </c>
      <c r="K5" s="5">
        <f>(D5-E5)*100/D5</f>
        <v>89.319727891156475</v>
      </c>
      <c r="L5" s="5"/>
    </row>
    <row r="6" spans="1:12">
      <c r="A6" s="4" t="s">
        <v>11</v>
      </c>
      <c r="B6" s="4"/>
      <c r="C6" s="2">
        <v>6</v>
      </c>
      <c r="D6" s="2">
        <f>21*6</f>
        <v>126</v>
      </c>
      <c r="E6" s="2">
        <f>4+2+1+0.1+2+0.2+0.2+3</f>
        <v>12.499999999999998</v>
      </c>
      <c r="F6" s="2">
        <f>E6*100/D6</f>
        <v>9.9206349206349191</v>
      </c>
      <c r="G6" s="2">
        <f>0.2+1+0.1+4</f>
        <v>5.3</v>
      </c>
      <c r="H6" s="2">
        <f>G6*100/D6</f>
        <v>4.2063492063492065</v>
      </c>
      <c r="I6" s="2">
        <f>4</f>
        <v>4</v>
      </c>
      <c r="J6" s="2">
        <f>I6*100/D6</f>
        <v>3.1746031746031744</v>
      </c>
      <c r="K6" s="5">
        <f>(D6-E6)*100/D6</f>
        <v>90.079365079365076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K6" sqref="K6:L6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23*4</f>
        <v>92</v>
      </c>
      <c r="E4" s="3">
        <f>2+1+3+3+1</f>
        <v>10</v>
      </c>
      <c r="F4" s="2">
        <f>E4*100/D4</f>
        <v>10.869565217391305</v>
      </c>
      <c r="G4" s="2">
        <f>1+3+1</f>
        <v>5</v>
      </c>
      <c r="H4" s="2">
        <f>G4*100/D4</f>
        <v>5.4347826086956523</v>
      </c>
      <c r="I4" s="2">
        <v>1</v>
      </c>
      <c r="J4" s="2">
        <f>I4*100/D4</f>
        <v>1.0869565217391304</v>
      </c>
      <c r="K4" s="5">
        <f>((D4-E4)*100)/D4</f>
        <v>89.130434782608702</v>
      </c>
      <c r="L4" s="5"/>
    </row>
    <row r="5" spans="1:12">
      <c r="A5" s="4" t="s">
        <v>10</v>
      </c>
      <c r="B5" s="4"/>
      <c r="C5" s="2">
        <v>6</v>
      </c>
      <c r="D5" s="2">
        <f>23*6</f>
        <v>138</v>
      </c>
      <c r="E5" s="2">
        <f>1+1+1+2+13+2+3+3</f>
        <v>26</v>
      </c>
      <c r="F5" s="2">
        <f>E5*100/D5</f>
        <v>18.840579710144926</v>
      </c>
      <c r="G5" s="2">
        <f>1+2+13+2+3+3</f>
        <v>24</v>
      </c>
      <c r="H5" s="2">
        <f>G5*100/D5</f>
        <v>17.391304347826086</v>
      </c>
      <c r="I5" s="2">
        <f>1+13+3</f>
        <v>17</v>
      </c>
      <c r="J5" s="2">
        <f>I5*100/D5</f>
        <v>12.318840579710145</v>
      </c>
      <c r="K5" s="5">
        <f>(D5-E5)*100/D5</f>
        <v>81.159420289855078</v>
      </c>
      <c r="L5" s="5"/>
    </row>
    <row r="6" spans="1:12">
      <c r="A6" s="4" t="s">
        <v>11</v>
      </c>
      <c r="B6" s="4"/>
      <c r="C6" s="2">
        <v>6</v>
      </c>
      <c r="D6" s="2">
        <f>23*6</f>
        <v>138</v>
      </c>
      <c r="E6" s="2">
        <f>1+1+1+1+24+4</f>
        <v>32</v>
      </c>
      <c r="F6" s="2">
        <f>E6*100/D6</f>
        <v>23.188405797101449</v>
      </c>
      <c r="G6" s="2">
        <f>1+1+1+24</f>
        <v>27</v>
      </c>
      <c r="H6" s="2">
        <f>G6*100/D6</f>
        <v>19.565217391304348</v>
      </c>
      <c r="I6" s="2">
        <f>24</f>
        <v>24</v>
      </c>
      <c r="J6" s="2">
        <f>I6*100/D6</f>
        <v>17.391304347826086</v>
      </c>
      <c r="K6" s="5">
        <f>(D6-E6)*100/D6</f>
        <v>76.811594202898547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I7" sqref="I7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20*4</f>
        <v>80</v>
      </c>
      <c r="E4" s="2">
        <f>1+1+1+2</f>
        <v>5</v>
      </c>
      <c r="F4" s="2">
        <f>E4*100/D4</f>
        <v>6.25</v>
      </c>
      <c r="G4" s="2">
        <f>1+3</f>
        <v>4</v>
      </c>
      <c r="H4" s="2">
        <f>G4*100/D4</f>
        <v>5</v>
      </c>
      <c r="I4" s="2">
        <f>2</f>
        <v>2</v>
      </c>
      <c r="J4" s="2">
        <f>I4*100/D4</f>
        <v>2.5</v>
      </c>
      <c r="K4" s="5">
        <f>((D4-E4)*100)/D4</f>
        <v>93.75</v>
      </c>
      <c r="L4" s="5"/>
    </row>
    <row r="5" spans="1:12">
      <c r="A5" s="4" t="s">
        <v>10</v>
      </c>
      <c r="B5" s="4"/>
      <c r="C5" s="2">
        <v>6</v>
      </c>
      <c r="D5" s="2">
        <f>20*6</f>
        <v>120</v>
      </c>
      <c r="E5" s="2">
        <f>1+4+8+2+3</f>
        <v>18</v>
      </c>
      <c r="F5" s="2">
        <f>E5*100/D5</f>
        <v>15</v>
      </c>
      <c r="G5" s="2">
        <f>1+4+2+3</f>
        <v>10</v>
      </c>
      <c r="H5" s="2">
        <f>G5*100/D5</f>
        <v>8.3333333333333339</v>
      </c>
      <c r="I5" s="2">
        <f>4</f>
        <v>4</v>
      </c>
      <c r="J5" s="2">
        <f>I5*100/D5</f>
        <v>3.3333333333333335</v>
      </c>
      <c r="K5" s="5">
        <f>(D5-E5)*100/D5</f>
        <v>85</v>
      </c>
      <c r="L5" s="5"/>
    </row>
    <row r="6" spans="1:12">
      <c r="A6" s="4" t="s">
        <v>11</v>
      </c>
      <c r="B6" s="4"/>
      <c r="C6" s="2">
        <v>6</v>
      </c>
      <c r="D6" s="2">
        <f>20*6</f>
        <v>120</v>
      </c>
      <c r="E6" s="2">
        <f>1+1+1+8+1+3</f>
        <v>15</v>
      </c>
      <c r="F6" s="2">
        <f>E6*100/D6</f>
        <v>12.5</v>
      </c>
      <c r="G6" s="2">
        <f>1+1+8</f>
        <v>10</v>
      </c>
      <c r="H6" s="2">
        <f>G6*100/D6</f>
        <v>8.3333333333333339</v>
      </c>
      <c r="I6" s="2">
        <f>8</f>
        <v>8</v>
      </c>
      <c r="J6" s="2">
        <f>I6*100/D6</f>
        <v>6.666666666666667</v>
      </c>
      <c r="K6" s="5">
        <f>(D6-E6)*100/D6</f>
        <v>87.5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I11" sqref="I11"/>
    </sheetView>
  </sheetViews>
  <sheetFormatPr defaultRowHeight="15"/>
  <cols>
    <col min="2" max="2" width="15.85546875" customWidth="1"/>
    <col min="8" max="8" width="9.14062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20*4</f>
        <v>80</v>
      </c>
      <c r="E4" s="2">
        <f>3+1+4+3+2+1+4+1</f>
        <v>19</v>
      </c>
      <c r="F4" s="2">
        <f>E4*100/D4</f>
        <v>23.75</v>
      </c>
      <c r="G4" s="2">
        <f>1+2+1</f>
        <v>4</v>
      </c>
      <c r="H4" s="2">
        <f>G4*100/D4</f>
        <v>5</v>
      </c>
      <c r="I4" s="2">
        <f>1+1</f>
        <v>2</v>
      </c>
      <c r="J4" s="2">
        <f>I4*100/D4</f>
        <v>2.5</v>
      </c>
      <c r="K4" s="5">
        <f>((D4-E4)*100)/D4</f>
        <v>76.25</v>
      </c>
      <c r="L4" s="5"/>
    </row>
    <row r="5" spans="1:12">
      <c r="A5" s="4" t="s">
        <v>10</v>
      </c>
      <c r="B5" s="4"/>
      <c r="C5" s="2">
        <v>6</v>
      </c>
      <c r="D5" s="2">
        <f>20*6</f>
        <v>120</v>
      </c>
      <c r="E5" s="2">
        <f>4+3+1+3+4+1+5+1+3</f>
        <v>25</v>
      </c>
      <c r="F5" s="2">
        <f>E5*100/D5</f>
        <v>20.833333333333332</v>
      </c>
      <c r="G5" s="2">
        <f>3+3+1+5+1+3</f>
        <v>16</v>
      </c>
      <c r="H5" s="2">
        <f>G5*100/D5</f>
        <v>13.333333333333334</v>
      </c>
      <c r="I5" s="2">
        <f>3+5</f>
        <v>8</v>
      </c>
      <c r="J5" s="2">
        <f>I5*100/D5</f>
        <v>6.666666666666667</v>
      </c>
      <c r="K5" s="5">
        <f>(D5-E5)*100/D5</f>
        <v>79.166666666666671</v>
      </c>
      <c r="L5" s="5"/>
    </row>
    <row r="6" spans="1:12">
      <c r="A6" s="4" t="s">
        <v>11</v>
      </c>
      <c r="B6" s="4"/>
      <c r="C6" s="2">
        <v>6</v>
      </c>
      <c r="D6" s="2">
        <f>20*6</f>
        <v>120</v>
      </c>
      <c r="E6" s="2">
        <f>2+3+1+6+1+1+5+2+1</f>
        <v>22</v>
      </c>
      <c r="F6" s="2">
        <f>E6*100/D6</f>
        <v>18.333333333333332</v>
      </c>
      <c r="G6" s="2">
        <f>1+1+1</f>
        <v>3</v>
      </c>
      <c r="H6" s="2">
        <f>G6*100/D6</f>
        <v>2.5</v>
      </c>
      <c r="I6" s="2">
        <v>0</v>
      </c>
      <c r="J6" s="2">
        <f>I6*100/D6</f>
        <v>0</v>
      </c>
      <c r="K6" s="5">
        <f>(D6-E6)*100/D6</f>
        <v>81.666666666666671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sqref="A1:XFD1048576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20*4</f>
        <v>80</v>
      </c>
      <c r="E4" s="2">
        <f>2+2+2+28</f>
        <v>34</v>
      </c>
      <c r="F4" s="2">
        <f>E4*100/D4</f>
        <v>42.5</v>
      </c>
      <c r="G4" s="2">
        <f>28+2+2</f>
        <v>32</v>
      </c>
      <c r="H4" s="2">
        <f>G4*100/D4</f>
        <v>40</v>
      </c>
      <c r="I4" s="2">
        <v>2</v>
      </c>
      <c r="J4" s="2">
        <f>I4*100/D4</f>
        <v>2.5</v>
      </c>
      <c r="K4" s="5">
        <f>((D4-E4)*100)/D4</f>
        <v>57.5</v>
      </c>
      <c r="L4" s="5"/>
    </row>
    <row r="5" spans="1:12">
      <c r="A5" s="4" t="s">
        <v>10</v>
      </c>
      <c r="B5" s="4"/>
      <c r="C5" s="2">
        <v>7</v>
      </c>
      <c r="D5" s="2">
        <f>20*7</f>
        <v>140</v>
      </c>
      <c r="E5" s="2">
        <f>4+5+1.6+2+3</f>
        <v>15.6</v>
      </c>
      <c r="F5" s="2">
        <f>E5*100/D5</f>
        <v>11.142857142857142</v>
      </c>
      <c r="G5" s="2">
        <f>2</f>
        <v>2</v>
      </c>
      <c r="H5" s="2">
        <f>G5*100/D5</f>
        <v>1.4285714285714286</v>
      </c>
      <c r="I5" s="2">
        <v>0</v>
      </c>
      <c r="J5" s="2">
        <f>I5*100/D5</f>
        <v>0</v>
      </c>
      <c r="K5" s="5">
        <f>(D5-E5)*100/D5</f>
        <v>88.857142857142861</v>
      </c>
      <c r="L5" s="5"/>
    </row>
    <row r="6" spans="1:12">
      <c r="A6" s="4" t="s">
        <v>11</v>
      </c>
      <c r="B6" s="4"/>
      <c r="C6" s="2">
        <v>6</v>
      </c>
      <c r="D6" s="2">
        <f>20*6</f>
        <v>120</v>
      </c>
      <c r="E6" s="2">
        <f>2+2+2.4+2.3+2</f>
        <v>10.7</v>
      </c>
      <c r="F6" s="2">
        <f>E6*100/D6</f>
        <v>8.9166666666666661</v>
      </c>
      <c r="G6" s="2">
        <f>0.3</f>
        <v>0.3</v>
      </c>
      <c r="H6" s="2">
        <f>G6*100/D6</f>
        <v>0.25</v>
      </c>
      <c r="I6" s="2">
        <v>0</v>
      </c>
      <c r="J6" s="2">
        <f>I6*100/D6</f>
        <v>0</v>
      </c>
      <c r="K6" s="5">
        <f>(D6-E6)*100/D6</f>
        <v>91.083333333333329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A2" sqref="A2:L2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22*4</f>
        <v>88</v>
      </c>
      <c r="E4" s="2">
        <f>6+1+0.2+2.1+2+1+1+31</f>
        <v>44.3</v>
      </c>
      <c r="F4" s="2">
        <f>E4*100/D4</f>
        <v>50.340909090909093</v>
      </c>
      <c r="G4" s="2">
        <f>31+2+1+1.2</f>
        <v>35.200000000000003</v>
      </c>
      <c r="H4" s="2">
        <f>G4*100/D4</f>
        <v>40.000000000000007</v>
      </c>
      <c r="I4" s="2">
        <v>2</v>
      </c>
      <c r="J4" s="2">
        <f>I4*100/D4</f>
        <v>2.2727272727272729</v>
      </c>
      <c r="K4" s="5">
        <f>((D4-E4)*100)/D4</f>
        <v>49.659090909090907</v>
      </c>
      <c r="L4" s="5"/>
    </row>
    <row r="5" spans="1:12">
      <c r="A5" s="4" t="s">
        <v>10</v>
      </c>
      <c r="B5" s="4"/>
      <c r="C5" s="2">
        <v>7</v>
      </c>
      <c r="D5" s="2">
        <f>22*7</f>
        <v>154</v>
      </c>
      <c r="E5" s="2">
        <f>2+4+1+0.2+5+4.3</f>
        <v>16.5</v>
      </c>
      <c r="F5" s="2">
        <f>E5*100/D5</f>
        <v>10.714285714285714</v>
      </c>
      <c r="G5" s="2">
        <f>3+0.2+1</f>
        <v>4.2</v>
      </c>
      <c r="H5" s="2">
        <f>G5*100/D5</f>
        <v>2.7272727272727271</v>
      </c>
      <c r="I5" s="2">
        <v>0</v>
      </c>
      <c r="J5" s="2">
        <f>I5*100/D5</f>
        <v>0</v>
      </c>
      <c r="K5" s="5">
        <f>(D5-E5)*100/D5</f>
        <v>89.285714285714292</v>
      </c>
      <c r="L5" s="5"/>
    </row>
    <row r="6" spans="1:12">
      <c r="A6" s="4" t="s">
        <v>11</v>
      </c>
      <c r="B6" s="4"/>
      <c r="C6" s="2">
        <v>6</v>
      </c>
      <c r="D6" s="2">
        <f>22*6</f>
        <v>132</v>
      </c>
      <c r="E6" s="2">
        <f>3+2.2+3+6</f>
        <v>14.2</v>
      </c>
      <c r="F6" s="2">
        <f>E6*100/D6</f>
        <v>10.757575757575758</v>
      </c>
      <c r="G6" s="2">
        <v>0</v>
      </c>
      <c r="H6" s="2">
        <f>G6*100/D6</f>
        <v>0</v>
      </c>
      <c r="I6" s="2">
        <v>0</v>
      </c>
      <c r="J6" s="2">
        <f>I6*100/D6</f>
        <v>0</v>
      </c>
      <c r="K6" s="5">
        <f>(D6-E6)*100/D6</f>
        <v>89.242424242424249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A2" sqref="A2:L2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20*4</f>
        <v>80</v>
      </c>
      <c r="E4" s="2">
        <f>9+1+0.2+8+30</f>
        <v>48.2</v>
      </c>
      <c r="F4" s="2">
        <f>E4*100/D4</f>
        <v>60.25</v>
      </c>
      <c r="G4" s="2">
        <f>30</f>
        <v>30</v>
      </c>
      <c r="H4" s="2">
        <f>G4*100/D4</f>
        <v>37.5</v>
      </c>
      <c r="I4" s="2">
        <v>0</v>
      </c>
      <c r="J4" s="2">
        <f>I4*100/D4</f>
        <v>0</v>
      </c>
      <c r="K4" s="5">
        <f>((D4-E4)*100)/D4</f>
        <v>39.749999999999993</v>
      </c>
      <c r="L4" s="5"/>
    </row>
    <row r="5" spans="1:12">
      <c r="A5" s="4" t="s">
        <v>10</v>
      </c>
      <c r="B5" s="4"/>
      <c r="C5" s="2">
        <v>7</v>
      </c>
      <c r="D5" s="2">
        <f>20*7</f>
        <v>140</v>
      </c>
      <c r="E5" s="2">
        <f>6+6+1+1+1+4+0.1+3+0.3+4+3+3</f>
        <v>32.400000000000006</v>
      </c>
      <c r="F5" s="2">
        <f>E5*100/D5</f>
        <v>23.142857142857146</v>
      </c>
      <c r="G5" s="2">
        <f>1+1+0.1+0.3+3</f>
        <v>5.4</v>
      </c>
      <c r="H5" s="2">
        <f>G5*100/D5</f>
        <v>3.8571428571428572</v>
      </c>
      <c r="I5" s="2">
        <f>1</f>
        <v>1</v>
      </c>
      <c r="J5" s="2">
        <f>I5*100/D5</f>
        <v>0.7142857142857143</v>
      </c>
      <c r="K5" s="5">
        <f>(D5-E5)*100/D5</f>
        <v>76.857142857142861</v>
      </c>
      <c r="L5" s="5"/>
    </row>
    <row r="6" spans="1:12">
      <c r="A6" s="4" t="s">
        <v>11</v>
      </c>
      <c r="B6" s="4"/>
      <c r="C6" s="2">
        <v>6</v>
      </c>
      <c r="D6" s="2">
        <f>20*6</f>
        <v>120</v>
      </c>
      <c r="E6" s="2">
        <f>2+2.1+1+5.1+3+0.4+3</f>
        <v>16.600000000000001</v>
      </c>
      <c r="F6" s="2">
        <f>E6*100/D6</f>
        <v>13.833333333333336</v>
      </c>
      <c r="G6" s="2">
        <f>1</f>
        <v>1</v>
      </c>
      <c r="H6" s="2">
        <f>G6*100/D6</f>
        <v>0.83333333333333337</v>
      </c>
      <c r="I6" s="2">
        <v>0</v>
      </c>
      <c r="J6" s="2">
        <f>I6*100/D6</f>
        <v>0</v>
      </c>
      <c r="K6" s="5">
        <f>(D6-E6)*100/D6</f>
        <v>86.166666666666671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A2" sqref="A2:L2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21*4</f>
        <v>84</v>
      </c>
      <c r="E4" s="2">
        <f>1+0.5+3+0.2+1+21</f>
        <v>26.7</v>
      </c>
      <c r="F4" s="2">
        <f>E4*100/D4</f>
        <v>31.785714285714285</v>
      </c>
      <c r="G4" s="2">
        <f>1+0.5</f>
        <v>1.5</v>
      </c>
      <c r="H4" s="2">
        <f>G4*100/D4</f>
        <v>1.7857142857142858</v>
      </c>
      <c r="I4" s="2">
        <v>1</v>
      </c>
      <c r="J4" s="2">
        <f>I4*100/D4</f>
        <v>1.1904761904761905</v>
      </c>
      <c r="K4" s="5">
        <f>((D4-E4)*100)/D4</f>
        <v>68.214285714285708</v>
      </c>
      <c r="L4" s="5"/>
    </row>
    <row r="5" spans="1:12">
      <c r="A5" s="4" t="s">
        <v>10</v>
      </c>
      <c r="B5" s="4"/>
      <c r="C5" s="2">
        <v>7</v>
      </c>
      <c r="D5" s="2">
        <f>21*7</f>
        <v>147</v>
      </c>
      <c r="E5" s="2">
        <f>9+2+0.3+1+4.1+1+3</f>
        <v>20.399999999999999</v>
      </c>
      <c r="F5" s="2">
        <f>E5*100/D5</f>
        <v>13.877551020408161</v>
      </c>
      <c r="G5" s="2">
        <f>2+0.3+1+3</f>
        <v>6.3</v>
      </c>
      <c r="H5" s="2">
        <f>G5*100/D5</f>
        <v>4.2857142857142856</v>
      </c>
      <c r="I5" s="2">
        <f>2+1</f>
        <v>3</v>
      </c>
      <c r="J5" s="2">
        <f>I5*100/D5</f>
        <v>2.0408163265306123</v>
      </c>
      <c r="K5" s="5">
        <f>(D5-E5)*100/D5</f>
        <v>86.122448979591837</v>
      </c>
      <c r="L5" s="5"/>
    </row>
    <row r="6" spans="1:12">
      <c r="A6" s="4" t="s">
        <v>11</v>
      </c>
      <c r="B6" s="4"/>
      <c r="C6" s="2">
        <v>6</v>
      </c>
      <c r="D6" s="2">
        <f>21*6</f>
        <v>126</v>
      </c>
      <c r="E6" s="2">
        <f>2.1+0.2+1+3+2+1+1.2+3</f>
        <v>13.5</v>
      </c>
      <c r="F6" s="2">
        <f>E6*100/D6</f>
        <v>10.714285714285714</v>
      </c>
      <c r="G6" s="2">
        <f>2+1</f>
        <v>3</v>
      </c>
      <c r="H6" s="2">
        <f>G6*100/D6</f>
        <v>2.3809523809523809</v>
      </c>
      <c r="I6" s="2">
        <v>0</v>
      </c>
      <c r="J6" s="2">
        <f>I6*100/D6</f>
        <v>0</v>
      </c>
      <c r="K6" s="5">
        <f>(D6-E6)*100/D6</f>
        <v>89.285714285714292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E5" sqref="E5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20*4</f>
        <v>80</v>
      </c>
      <c r="E4" s="2">
        <f>2+0.2+5+1+30</f>
        <v>38.200000000000003</v>
      </c>
      <c r="F4" s="2">
        <f>E4*100/D4</f>
        <v>47.750000000000007</v>
      </c>
      <c r="G4" s="2">
        <f>2+30</f>
        <v>32</v>
      </c>
      <c r="H4" s="2">
        <f>G4*100/D4</f>
        <v>40</v>
      </c>
      <c r="I4" s="2">
        <v>2</v>
      </c>
      <c r="J4" s="2">
        <f>I4*100/D4</f>
        <v>2.5</v>
      </c>
      <c r="K4" s="5">
        <f>((D4-E4)*100)/D4</f>
        <v>52.25</v>
      </c>
      <c r="L4" s="5"/>
    </row>
    <row r="5" spans="1:12">
      <c r="A5" s="4" t="s">
        <v>10</v>
      </c>
      <c r="B5" s="4"/>
      <c r="C5" s="2">
        <v>6</v>
      </c>
      <c r="D5" s="2">
        <f>20*6</f>
        <v>120</v>
      </c>
      <c r="E5" s="2">
        <f>3+2+8+0.5+2+0.2+6+1+7+3</f>
        <v>32.700000000000003</v>
      </c>
      <c r="F5" s="2">
        <f>E5*100/D5</f>
        <v>27.250000000000004</v>
      </c>
      <c r="G5" s="2">
        <f>0.5+0.2+1+3</f>
        <v>4.7</v>
      </c>
      <c r="H5" s="2">
        <f>G5*100/D5</f>
        <v>3.9166666666666665</v>
      </c>
      <c r="I5" s="2">
        <v>0</v>
      </c>
      <c r="J5" s="2">
        <f>I5*100/D5</f>
        <v>0</v>
      </c>
      <c r="K5" s="5">
        <f>(D5-E5)*100/D5</f>
        <v>72.75</v>
      </c>
      <c r="L5" s="5"/>
    </row>
    <row r="6" spans="1:12">
      <c r="A6" s="4" t="s">
        <v>11</v>
      </c>
      <c r="B6" s="4"/>
      <c r="C6" s="2">
        <v>6</v>
      </c>
      <c r="D6" s="2">
        <f>20*6</f>
        <v>120</v>
      </c>
      <c r="E6" s="2">
        <f>3+4.1+6+1+3+2+2+1+5</f>
        <v>27.1</v>
      </c>
      <c r="F6" s="2">
        <f>E6*100/D6</f>
        <v>22.583333333333332</v>
      </c>
      <c r="G6" s="2">
        <f>1+2+1</f>
        <v>4</v>
      </c>
      <c r="H6" s="2">
        <f>G6*100/D6</f>
        <v>3.3333333333333335</v>
      </c>
      <c r="I6" s="2">
        <v>0</v>
      </c>
      <c r="J6" s="2">
        <f>I6*100/D6</f>
        <v>0</v>
      </c>
      <c r="K6" s="5">
        <f>(D6-E6)*100/D6</f>
        <v>77.416666666666671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E5" sqref="E5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23*4</f>
        <v>92</v>
      </c>
      <c r="E4" s="2">
        <f>1+0.2+1+0.1+4+1+31</f>
        <v>38.299999999999997</v>
      </c>
      <c r="F4" s="2">
        <f>E4*100/D4</f>
        <v>41.630434782608688</v>
      </c>
      <c r="G4" s="2">
        <f>32</f>
        <v>32</v>
      </c>
      <c r="H4" s="2">
        <f>G4*100/D4</f>
        <v>34.782608695652172</v>
      </c>
      <c r="I4" s="2">
        <v>0</v>
      </c>
      <c r="J4" s="2">
        <f>I4*100/D4</f>
        <v>0</v>
      </c>
      <c r="K4" s="5">
        <f>((D4-E4)*100)/D4</f>
        <v>58.369565217391305</v>
      </c>
      <c r="L4" s="5"/>
    </row>
    <row r="5" spans="1:12">
      <c r="A5" s="4" t="s">
        <v>10</v>
      </c>
      <c r="B5" s="4"/>
      <c r="C5" s="2">
        <v>6</v>
      </c>
      <c r="D5" s="2">
        <f>23*6</f>
        <v>138</v>
      </c>
      <c r="E5" s="2">
        <f>7+6+3+3+2+7+3</f>
        <v>31</v>
      </c>
      <c r="F5" s="2">
        <f>E5*100/D5</f>
        <v>22.463768115942027</v>
      </c>
      <c r="G5" s="2">
        <f>2+3</f>
        <v>5</v>
      </c>
      <c r="H5" s="2">
        <f>G5*100/D5</f>
        <v>3.6231884057971016</v>
      </c>
      <c r="I5" s="2">
        <f>2</f>
        <v>2</v>
      </c>
      <c r="J5" s="2">
        <f>I5*100/D5</f>
        <v>1.4492753623188406</v>
      </c>
      <c r="K5" s="5">
        <f>(D5-E5)*100/D5</f>
        <v>77.536231884057969</v>
      </c>
      <c r="L5" s="5"/>
    </row>
    <row r="6" spans="1:12">
      <c r="A6" s="4" t="s">
        <v>11</v>
      </c>
      <c r="B6" s="4"/>
      <c r="C6" s="2">
        <v>6</v>
      </c>
      <c r="D6" s="2">
        <f>23*6</f>
        <v>138</v>
      </c>
      <c r="E6" s="2">
        <f>2.1+2+0.2+13+10+0.2+14.2+2</f>
        <v>43.7</v>
      </c>
      <c r="F6" s="2">
        <f>E6*100/D6</f>
        <v>31.666666666666668</v>
      </c>
      <c r="G6" s="2">
        <f>2+0.2</f>
        <v>2.2000000000000002</v>
      </c>
      <c r="H6" s="2">
        <f>G6*100/D6</f>
        <v>1.5942028985507248</v>
      </c>
      <c r="I6" s="2">
        <v>2</v>
      </c>
      <c r="J6" s="2">
        <f>I6*100/D6</f>
        <v>1.4492753623188406</v>
      </c>
      <c r="K6" s="5">
        <f>(D6-E6)*100/D6</f>
        <v>68.333333333333329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D5" sqref="D5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20*4</f>
        <v>80</v>
      </c>
      <c r="E4" s="2">
        <f>6+11+0.1+19+31</f>
        <v>67.099999999999994</v>
      </c>
      <c r="F4" s="2">
        <f>E4*100/D4</f>
        <v>83.874999999999986</v>
      </c>
      <c r="G4" s="2">
        <f>31</f>
        <v>31</v>
      </c>
      <c r="H4" s="2">
        <f>G4*100/D4</f>
        <v>38.75</v>
      </c>
      <c r="I4" s="2">
        <v>0</v>
      </c>
      <c r="J4" s="2">
        <f>I4*100/D4</f>
        <v>0</v>
      </c>
      <c r="K4" s="5">
        <f>((D4-E4)*100)/D4</f>
        <v>16.125000000000007</v>
      </c>
      <c r="L4" s="5"/>
    </row>
    <row r="5" spans="1:12">
      <c r="A5" s="4" t="s">
        <v>10</v>
      </c>
      <c r="B5" s="4"/>
      <c r="C5" s="2">
        <v>6</v>
      </c>
      <c r="D5" s="2">
        <f>20*6</f>
        <v>120</v>
      </c>
      <c r="E5" s="2">
        <f>5+10+4.1+21+3+4</f>
        <v>47.1</v>
      </c>
      <c r="F5" s="2">
        <f>E5*100/D5</f>
        <v>39.25</v>
      </c>
      <c r="G5" s="2">
        <f>21+3</f>
        <v>24</v>
      </c>
      <c r="H5" s="2">
        <f>G5*100/D5</f>
        <v>20</v>
      </c>
      <c r="I5" s="2">
        <v>21</v>
      </c>
      <c r="J5" s="2">
        <f>I5*100/D5</f>
        <v>17.5</v>
      </c>
      <c r="K5" s="5">
        <f>(D5-E5)*100/D5</f>
        <v>60.750000000000007</v>
      </c>
      <c r="L5" s="5"/>
    </row>
    <row r="6" spans="1:12">
      <c r="A6" s="4" t="s">
        <v>11</v>
      </c>
      <c r="B6" s="4"/>
      <c r="C6" s="2">
        <v>6</v>
      </c>
      <c r="D6" s="2">
        <f>20*6</f>
        <v>120</v>
      </c>
      <c r="E6" s="2">
        <f>12+2+6+1+1</f>
        <v>22</v>
      </c>
      <c r="F6" s="2">
        <f>E6*100/D6</f>
        <v>18.333333333333332</v>
      </c>
      <c r="G6" s="2">
        <v>0</v>
      </c>
      <c r="H6" s="2">
        <f>G6*100/D6</f>
        <v>0</v>
      </c>
      <c r="I6" s="2">
        <v>0</v>
      </c>
      <c r="J6" s="2">
        <f>I6*100/D6</f>
        <v>0</v>
      </c>
      <c r="K6" s="5">
        <f>(D6-E6)*100/D6</f>
        <v>81.666666666666671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J6" sqref="J6"/>
    </sheetView>
  </sheetViews>
  <sheetFormatPr defaultRowHeight="15"/>
  <cols>
    <col min="2" max="2" width="15.85546875" customWidth="1"/>
  </cols>
  <sheetData>
    <row r="1" spans="1:12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0">
      <c r="A3" s="5"/>
      <c r="B3" s="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4" t="s">
        <v>8</v>
      </c>
      <c r="L3" s="4"/>
    </row>
    <row r="4" spans="1:12" ht="33" customHeight="1">
      <c r="A4" s="4" t="s">
        <v>9</v>
      </c>
      <c r="B4" s="4"/>
      <c r="C4" s="2">
        <v>4</v>
      </c>
      <c r="D4" s="2">
        <f>22*4</f>
        <v>88</v>
      </c>
      <c r="E4" s="2">
        <f>1+0.4+0.5+1+7+3.4</f>
        <v>13.3</v>
      </c>
      <c r="F4" s="2">
        <f>E4*100/D4</f>
        <v>15.113636363636363</v>
      </c>
      <c r="G4" s="2">
        <f>0.4+1+7+3.4</f>
        <v>11.8</v>
      </c>
      <c r="H4" s="2">
        <f>G4*100/D4</f>
        <v>13.409090909090908</v>
      </c>
      <c r="I4" s="2">
        <v>0</v>
      </c>
      <c r="J4" s="2">
        <f>I4*100/D4</f>
        <v>0</v>
      </c>
      <c r="K4" s="5">
        <f>((D4-E4)*100)/D4</f>
        <v>84.88636363636364</v>
      </c>
      <c r="L4" s="5"/>
    </row>
    <row r="5" spans="1:12">
      <c r="A5" s="4" t="s">
        <v>10</v>
      </c>
      <c r="B5" s="4"/>
      <c r="C5" s="2">
        <v>6</v>
      </c>
      <c r="D5" s="2">
        <f>22*6</f>
        <v>132</v>
      </c>
      <c r="E5" s="2">
        <f>1.4+15+30+9+3</f>
        <v>58.4</v>
      </c>
      <c r="F5" s="2">
        <f>E5*100/D5</f>
        <v>44.242424242424242</v>
      </c>
      <c r="G5" s="2">
        <f>30+9+3</f>
        <v>42</v>
      </c>
      <c r="H5" s="2">
        <f>G5*100/D5</f>
        <v>31.818181818181817</v>
      </c>
      <c r="I5" s="2">
        <v>39</v>
      </c>
      <c r="J5" s="2">
        <f>I5*100/D5</f>
        <v>29.545454545454547</v>
      </c>
      <c r="K5" s="5">
        <f>(D5-E5)*100/D5</f>
        <v>55.757575757575751</v>
      </c>
      <c r="L5" s="5"/>
    </row>
    <row r="6" spans="1:12">
      <c r="A6" s="4" t="s">
        <v>11</v>
      </c>
      <c r="B6" s="4"/>
      <c r="C6" s="2">
        <v>6</v>
      </c>
      <c r="D6" s="2">
        <f>22*6</f>
        <v>132</v>
      </c>
      <c r="E6" s="2">
        <f>0.3+10+3+0.2+1+1+23+0.2+3</f>
        <v>41.7</v>
      </c>
      <c r="F6" s="2">
        <f>E6*100/D6</f>
        <v>31.59090909090909</v>
      </c>
      <c r="G6" s="2">
        <f>1+23</f>
        <v>24</v>
      </c>
      <c r="H6" s="2">
        <f>G6*100/D6</f>
        <v>18.181818181818183</v>
      </c>
      <c r="I6" s="2">
        <v>23</v>
      </c>
      <c r="J6" s="2">
        <f>I6*100/D6</f>
        <v>17.424242424242426</v>
      </c>
      <c r="K6" s="5">
        <f>(D6-E6)*100/D6</f>
        <v>68.409090909090907</v>
      </c>
      <c r="L6" s="5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Amministrativo01</dc:creator>
  <cp:lastModifiedBy>Amministrativo01</cp:lastModifiedBy>
  <cp:lastPrinted>2015-01-19T09:49:29Z</cp:lastPrinted>
  <dcterms:created xsi:type="dcterms:W3CDTF">2014-10-08T09:46:45Z</dcterms:created>
  <dcterms:modified xsi:type="dcterms:W3CDTF">2015-01-19T10:17:06Z</dcterms:modified>
</cp:coreProperties>
</file>